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075" activeTab="0"/>
  </bookViews>
  <sheets>
    <sheet name="財務模型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ASUS</author>
  </authors>
  <commentList>
    <comment ref="B3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若更改此欄須於</t>
        </r>
        <r>
          <rPr>
            <sz val="9"/>
            <rFont val="Tahoma"/>
            <family val="2"/>
          </rPr>
          <t xml:space="preserve">annual payment </t>
        </r>
        <r>
          <rPr>
            <sz val="9"/>
            <rFont val="細明體"/>
            <family val="3"/>
          </rPr>
          <t>做調整</t>
        </r>
      </text>
    </comment>
  </commentList>
</comments>
</file>

<file path=xl/sharedStrings.xml><?xml version="1.0" encoding="utf-8"?>
<sst xmlns="http://schemas.openxmlformats.org/spreadsheetml/2006/main" count="63" uniqueCount="58">
  <si>
    <t>NTD Version</t>
  </si>
  <si>
    <t>躉售電價(請輸入)</t>
  </si>
  <si>
    <t>Date</t>
  </si>
  <si>
    <t>Totals</t>
  </si>
  <si>
    <t>Expenditure</t>
  </si>
  <si>
    <r>
      <t>S</t>
    </r>
    <r>
      <rPr>
        <sz val="8"/>
        <rFont val="Arial"/>
        <family val="2"/>
      </rPr>
      <t>ubsidiary</t>
    </r>
  </si>
  <si>
    <r>
      <rPr>
        <sz val="10"/>
        <rFont val="細明體"/>
        <family val="3"/>
      </rPr>
      <t>裝置量</t>
    </r>
    <r>
      <rPr>
        <sz val="10"/>
        <rFont val="Arial"/>
        <family val="2"/>
      </rPr>
      <t>(KW)(</t>
    </r>
    <r>
      <rPr>
        <sz val="10"/>
        <rFont val="細明體"/>
        <family val="3"/>
      </rPr>
      <t>請輸入</t>
    </r>
    <r>
      <rPr>
        <sz val="10"/>
        <rFont val="Arial"/>
        <family val="2"/>
      </rPr>
      <t>)</t>
    </r>
  </si>
  <si>
    <t>ER</t>
  </si>
  <si>
    <r>
      <t>F</t>
    </r>
    <r>
      <rPr>
        <sz val="8"/>
        <rFont val="Arial"/>
        <family val="2"/>
      </rPr>
      <t>IT</t>
    </r>
  </si>
  <si>
    <t>CA solar initiative cash</t>
  </si>
  <si>
    <t>匯率(台幣對美金)(請輸入)</t>
  </si>
  <si>
    <r>
      <t>n</t>
    </r>
    <r>
      <rPr>
        <sz val="10"/>
        <rFont val="Arial"/>
        <family val="2"/>
      </rPr>
      <t xml:space="preserve"> to USD</t>
    </r>
  </si>
  <si>
    <r>
      <t>D</t>
    </r>
    <r>
      <rPr>
        <sz val="8"/>
        <rFont val="Arial"/>
        <family val="2"/>
      </rPr>
      <t>epreciation</t>
    </r>
  </si>
  <si>
    <t>CA deprec</t>
  </si>
  <si>
    <t>期初資本支出</t>
  </si>
  <si>
    <t>售電收入扣除維修費用</t>
  </si>
  <si>
    <t>淨利</t>
  </si>
  <si>
    <t>20年期獲利率</t>
  </si>
  <si>
    <t>IRR</t>
  </si>
  <si>
    <r>
      <t>LCOE(</t>
    </r>
    <r>
      <rPr>
        <sz val="9"/>
        <rFont val="細明體"/>
        <family val="3"/>
      </rPr>
      <t>平均每度電成本</t>
    </r>
    <r>
      <rPr>
        <sz val="9"/>
        <rFont val="Arial"/>
        <family val="2"/>
      </rPr>
      <t>)</t>
    </r>
  </si>
  <si>
    <r>
      <rPr>
        <sz val="10"/>
        <rFont val="細明體"/>
        <family val="3"/>
      </rPr>
      <t>每</t>
    </r>
    <r>
      <rPr>
        <sz val="10"/>
        <rFont val="Arial"/>
        <family val="2"/>
      </rPr>
      <t>KW</t>
    </r>
    <r>
      <rPr>
        <sz val="10"/>
        <rFont val="細明體"/>
        <family val="3"/>
      </rPr>
      <t>售價</t>
    </r>
  </si>
  <si>
    <r>
      <t>D</t>
    </r>
    <r>
      <rPr>
        <sz val="8"/>
        <rFont val="Arial"/>
        <family val="2"/>
      </rPr>
      <t>epreciation with mortage</t>
    </r>
  </si>
  <si>
    <t>SE</t>
  </si>
  <si>
    <t>每日平均日照量(請輸入)</t>
  </si>
  <si>
    <t>O&amp;M</t>
  </si>
  <si>
    <t>Gross Income</t>
  </si>
  <si>
    <t>Gross income with mortgage</t>
  </si>
  <si>
    <r>
      <t>R</t>
    </r>
    <r>
      <rPr>
        <sz val="8"/>
        <rFont val="Arial"/>
        <family val="2"/>
      </rPr>
      <t>evenue</t>
    </r>
  </si>
  <si>
    <t>Fixed cost i.e. rental, license, fees,</t>
  </si>
  <si>
    <r>
      <t>(</t>
    </r>
    <r>
      <rPr>
        <sz val="8"/>
        <rFont val="Arial"/>
        <family val="2"/>
      </rPr>
      <t>Cash flow)</t>
    </r>
    <r>
      <rPr>
        <sz val="8"/>
        <rFont val="Arial"/>
        <family val="2"/>
      </rPr>
      <t>Balance</t>
    </r>
  </si>
  <si>
    <t>Reserve Balance</t>
  </si>
  <si>
    <t>annual payment (mortgage delta from Bank)</t>
  </si>
  <si>
    <r>
      <t>PR(</t>
    </r>
    <r>
      <rPr>
        <sz val="10"/>
        <rFont val="細明體"/>
        <family val="3"/>
      </rPr>
      <t>請輸入</t>
    </r>
    <r>
      <rPr>
        <sz val="10"/>
        <rFont val="Arial"/>
        <family val="2"/>
      </rPr>
      <t>)</t>
    </r>
  </si>
  <si>
    <r>
      <t>c</t>
    </r>
    <r>
      <rPr>
        <sz val="8"/>
        <rFont val="Arial"/>
        <family val="2"/>
      </rPr>
      <t>apital cost</t>
    </r>
  </si>
  <si>
    <t>P&amp;L</t>
  </si>
  <si>
    <t>P&amp;L with mortgage</t>
  </si>
  <si>
    <t>interest rate</t>
  </si>
  <si>
    <t>LCOE</t>
  </si>
  <si>
    <t>Modified IRR after mortgage</t>
  </si>
  <si>
    <t>yearly payment to bank</t>
  </si>
  <si>
    <t>monthly pament to bank</t>
  </si>
  <si>
    <t>[]</t>
  </si>
  <si>
    <t>Inflation</t>
  </si>
  <si>
    <t>價差</t>
  </si>
  <si>
    <t>還款年限</t>
  </si>
  <si>
    <t>Cash flow</t>
  </si>
  <si>
    <t>定存利率</t>
  </si>
  <si>
    <t>借款利率</t>
  </si>
  <si>
    <t>智慧型太陽能電廠獲利能力</t>
  </si>
  <si>
    <r>
      <rPr>
        <sz val="8"/>
        <rFont val="細明體"/>
        <family val="3"/>
      </rPr>
      <t>借貸金額</t>
    </r>
    <r>
      <rPr>
        <sz val="8"/>
        <rFont val="Arial"/>
        <family val="2"/>
      </rPr>
      <t>(</t>
    </r>
    <r>
      <rPr>
        <sz val="8"/>
        <rFont val="細明體"/>
        <family val="3"/>
      </rPr>
      <t>請輸入</t>
    </r>
    <r>
      <rPr>
        <sz val="8"/>
        <rFont val="Arial"/>
        <family val="2"/>
      </rPr>
      <t>)</t>
    </r>
  </si>
  <si>
    <t>1. 折舊年限15年</t>
  </si>
  <si>
    <r>
      <t xml:space="preserve">2. </t>
    </r>
    <r>
      <rPr>
        <sz val="9"/>
        <rFont val="細明體"/>
        <family val="3"/>
      </rPr>
      <t>較一般系統模組損耗為低</t>
    </r>
  </si>
  <si>
    <r>
      <t xml:space="preserve">3. </t>
    </r>
    <r>
      <rPr>
        <sz val="9"/>
        <rFont val="細明體"/>
        <family val="3"/>
      </rPr>
      <t>較一般系統保固費用為低</t>
    </r>
  </si>
  <si>
    <r>
      <t xml:space="preserve">4. </t>
    </r>
    <r>
      <rPr>
        <sz val="9"/>
        <rFont val="細明體"/>
        <family val="3"/>
      </rPr>
      <t>若有財務計畫可輸入貸款條件</t>
    </r>
  </si>
  <si>
    <t>個人累進所得稅率</t>
  </si>
  <si>
    <t>附註</t>
  </si>
  <si>
    <t>屋頂型太陽能財務評估</t>
  </si>
  <si>
    <t>約當20年期房貸利率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</si>
</sst>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(* #,##0.00_);_(* \(#,##0.00\);_(* &quot;-&quot;??_);_(@_)"/>
    <numFmt numFmtId="178" formatCode="#,##0.00000_);[Red]\(#,##0.00000\)"/>
    <numFmt numFmtId="179" formatCode="0.00_);[Red]\(0.00\)"/>
    <numFmt numFmtId="180" formatCode="0_);[Red]\(0\)"/>
    <numFmt numFmtId="181" formatCode="0.000%"/>
  </numFmts>
  <fonts count="49">
    <font>
      <sz val="10"/>
      <name val="Arial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4"/>
      <name val="Arial"/>
      <family val="2"/>
    </font>
    <font>
      <sz val="8"/>
      <name val="Arial"/>
      <family val="2"/>
    </font>
    <font>
      <sz val="10"/>
      <name val="細明體"/>
      <family val="3"/>
    </font>
    <font>
      <sz val="9"/>
      <name val="Arial"/>
      <family val="2"/>
    </font>
    <font>
      <sz val="8"/>
      <name val="細明體"/>
      <family val="3"/>
    </font>
    <font>
      <sz val="9"/>
      <name val="Tahoma"/>
      <family val="2"/>
    </font>
    <font>
      <b/>
      <sz val="9"/>
      <name val="Tahoma"/>
      <family val="2"/>
    </font>
    <font>
      <sz val="14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9"/>
      <name val="細明體"/>
      <family val="3"/>
    </font>
    <font>
      <b/>
      <sz val="16"/>
      <color indexed="9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theme="0"/>
      <name val="細明體"/>
      <family val="3"/>
    </font>
    <font>
      <b/>
      <sz val="16"/>
      <color theme="0"/>
      <name val="Arial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patternFill patternType="solid">
        <fgColor theme="8" tint="0.3999499976634979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rgb="FFFFC000"/>
        </stop>
      </gradientFill>
    </fill>
    <fill>
      <gradientFill type="path" left="0.5" right="0.5" top="0.5" bottom="0.5">
        <stop position="0">
          <color theme="0"/>
        </stop>
        <stop position="1">
          <color rgb="FFFFC000"/>
        </stop>
      </gradientFill>
    </fill>
    <fill>
      <gradientFill type="path" left="0.5" right="0.5" top="0.5" bottom="0.5">
        <stop position="0">
          <color theme="0"/>
        </stop>
        <stop position="1">
          <color rgb="FFFFC000"/>
        </stop>
      </gradientFill>
    </fill>
    <fill>
      <patternFill patternType="solid">
        <fgColor theme="8" tint="-0.24993999302387238"/>
        <bgColor indexed="64"/>
      </patternFill>
    </fill>
    <fill>
      <patternFill patternType="solid">
        <fgColor rgb="FFFFC00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7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29" fillId="0" borderId="0" applyFont="0" applyFill="0" applyBorder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29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76" fontId="0" fillId="33" borderId="0" xfId="0" applyNumberFormat="1" applyFont="1" applyFill="1" applyBorder="1" applyAlignment="1" applyProtection="1">
      <alignment horizontal="left"/>
      <protection locked="0"/>
    </xf>
    <xf numFmtId="176" fontId="3" fillId="33" borderId="0" xfId="0" applyNumberFormat="1" applyFont="1" applyFill="1" applyBorder="1" applyAlignment="1" applyProtection="1">
      <alignment horizontal="center"/>
      <protection locked="0"/>
    </xf>
    <xf numFmtId="176" fontId="3" fillId="33" borderId="0" xfId="0" applyNumberFormat="1" applyFont="1" applyFill="1" applyBorder="1" applyAlignment="1" applyProtection="1">
      <alignment horizontal="right"/>
      <protection/>
    </xf>
    <xf numFmtId="176" fontId="3" fillId="33" borderId="0" xfId="0" applyNumberFormat="1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76" fontId="4" fillId="35" borderId="0" xfId="0" applyNumberFormat="1" applyFont="1" applyFill="1" applyBorder="1" applyAlignment="1" applyProtection="1">
      <alignment horizontal="right"/>
      <protection/>
    </xf>
    <xf numFmtId="176" fontId="6" fillId="35" borderId="0" xfId="0" applyNumberFormat="1" applyFont="1" applyFill="1" applyBorder="1" applyAlignment="1" applyProtection="1">
      <alignment horizontal="center"/>
      <protection/>
    </xf>
    <xf numFmtId="176" fontId="4" fillId="35" borderId="0" xfId="0" applyNumberFormat="1" applyFont="1" applyFill="1" applyBorder="1" applyAlignment="1" applyProtection="1">
      <alignment horizontal="left"/>
      <protection/>
    </xf>
    <xf numFmtId="176" fontId="6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176" fontId="4" fillId="33" borderId="0" xfId="0" applyNumberFormat="1" applyFont="1" applyFill="1" applyBorder="1" applyAlignment="1" applyProtection="1">
      <alignment horizontal="right"/>
      <protection/>
    </xf>
    <xf numFmtId="176" fontId="6" fillId="33" borderId="0" xfId="33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Border="1" applyAlignment="1" applyProtection="1">
      <alignment/>
      <protection/>
    </xf>
    <xf numFmtId="176" fontId="4" fillId="33" borderId="0" xfId="0" applyNumberFormat="1" applyFont="1" applyFill="1" applyBorder="1" applyAlignment="1" applyProtection="1">
      <alignment horizontal="left"/>
      <protection/>
    </xf>
    <xf numFmtId="176" fontId="6" fillId="33" borderId="0" xfId="0" applyNumberFormat="1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176" fontId="6" fillId="37" borderId="0" xfId="0" applyNumberFormat="1" applyFont="1" applyFill="1" applyBorder="1" applyAlignment="1" applyProtection="1">
      <alignment horizontal="center"/>
      <protection locked="0"/>
    </xf>
    <xf numFmtId="176" fontId="6" fillId="33" borderId="10" xfId="0" applyNumberFormat="1" applyFont="1" applyFill="1" applyBorder="1" applyAlignment="1" applyProtection="1">
      <alignment/>
      <protection locked="0"/>
    </xf>
    <xf numFmtId="176" fontId="2" fillId="33" borderId="0" xfId="0" applyNumberFormat="1" applyFont="1" applyFill="1" applyBorder="1" applyAlignment="1" applyProtection="1">
      <alignment/>
      <protection locked="0"/>
    </xf>
    <xf numFmtId="176" fontId="6" fillId="33" borderId="11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10" fontId="6" fillId="38" borderId="0" xfId="0" applyNumberFormat="1" applyFont="1" applyFill="1" applyBorder="1" applyAlignment="1" applyProtection="1">
      <alignment/>
      <protection locked="0"/>
    </xf>
    <xf numFmtId="10" fontId="6" fillId="39" borderId="0" xfId="0" applyNumberFormat="1" applyFont="1" applyFill="1" applyBorder="1" applyAlignment="1" applyProtection="1">
      <alignment/>
      <protection/>
    </xf>
    <xf numFmtId="178" fontId="6" fillId="40" borderId="11" xfId="0" applyNumberFormat="1" applyFont="1" applyFill="1" applyBorder="1" applyAlignment="1" applyProtection="1">
      <alignment/>
      <protection locked="0"/>
    </xf>
    <xf numFmtId="10" fontId="6" fillId="33" borderId="0" xfId="0" applyNumberFormat="1" applyFont="1" applyFill="1" applyBorder="1" applyAlignment="1" applyProtection="1">
      <alignment/>
      <protection locked="0"/>
    </xf>
    <xf numFmtId="10" fontId="6" fillId="33" borderId="0" xfId="0" applyNumberFormat="1" applyFont="1" applyFill="1" applyBorder="1" applyAlignment="1" applyProtection="1">
      <alignment/>
      <protection/>
    </xf>
    <xf numFmtId="176" fontId="2" fillId="33" borderId="12" xfId="0" applyNumberFormat="1" applyFont="1" applyFill="1" applyBorder="1" applyAlignment="1" applyProtection="1">
      <alignment/>
      <protection locked="0"/>
    </xf>
    <xf numFmtId="176" fontId="6" fillId="33" borderId="13" xfId="0" applyNumberFormat="1" applyFont="1" applyFill="1" applyBorder="1" applyAlignment="1" applyProtection="1">
      <alignment/>
      <protection locked="0"/>
    </xf>
    <xf numFmtId="10" fontId="6" fillId="33" borderId="13" xfId="0" applyNumberFormat="1" applyFont="1" applyFill="1" applyBorder="1" applyAlignment="1" applyProtection="1">
      <alignment/>
      <protection locked="0"/>
    </xf>
    <xf numFmtId="176" fontId="6" fillId="33" borderId="14" xfId="0" applyNumberFormat="1" applyFont="1" applyFill="1" applyBorder="1" applyAlignment="1" applyProtection="1">
      <alignment/>
      <protection locked="0"/>
    </xf>
    <xf numFmtId="179" fontId="6" fillId="33" borderId="0" xfId="0" applyNumberFormat="1" applyFont="1" applyFill="1" applyBorder="1" applyAlignment="1" applyProtection="1">
      <alignment/>
      <protection locked="0"/>
    </xf>
    <xf numFmtId="176" fontId="0" fillId="33" borderId="0" xfId="0" applyNumberForma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/>
    </xf>
    <xf numFmtId="179" fontId="0" fillId="33" borderId="0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/>
      <protection locked="0"/>
    </xf>
    <xf numFmtId="176" fontId="4" fillId="41" borderId="0" xfId="0" applyNumberFormat="1" applyFont="1" applyFill="1" applyBorder="1" applyAlignment="1" applyProtection="1">
      <alignment horizontal="right"/>
      <protection/>
    </xf>
    <xf numFmtId="176" fontId="6" fillId="41" borderId="0" xfId="33" applyNumberFormat="1" applyFont="1" applyFill="1" applyBorder="1" applyAlignment="1" applyProtection="1">
      <alignment/>
      <protection/>
    </xf>
    <xf numFmtId="176" fontId="6" fillId="41" borderId="0" xfId="0" applyNumberFormat="1" applyFont="1" applyFill="1" applyBorder="1" applyAlignment="1" applyProtection="1">
      <alignment/>
      <protection/>
    </xf>
    <xf numFmtId="176" fontId="6" fillId="42" borderId="0" xfId="0" applyNumberFormat="1" applyFont="1" applyFill="1" applyBorder="1" applyAlignment="1" applyProtection="1">
      <alignment/>
      <protection/>
    </xf>
    <xf numFmtId="176" fontId="4" fillId="43" borderId="0" xfId="0" applyNumberFormat="1" applyFont="1" applyFill="1" applyBorder="1" applyAlignment="1" applyProtection="1">
      <alignment horizontal="right"/>
      <protection locked="0"/>
    </xf>
    <xf numFmtId="176" fontId="6" fillId="33" borderId="0" xfId="33" applyNumberFormat="1" applyFont="1" applyFill="1" applyBorder="1" applyAlignment="1" applyProtection="1">
      <alignment/>
      <protection locked="0"/>
    </xf>
    <xf numFmtId="178" fontId="6" fillId="44" borderId="0" xfId="0" applyNumberFormat="1" applyFont="1" applyFill="1" applyBorder="1" applyAlignment="1" applyProtection="1">
      <alignment/>
      <protection locked="0"/>
    </xf>
    <xf numFmtId="176" fontId="4" fillId="45" borderId="0" xfId="0" applyNumberFormat="1" applyFont="1" applyFill="1" applyBorder="1" applyAlignment="1" applyProtection="1">
      <alignment horizontal="left"/>
      <protection locked="0"/>
    </xf>
    <xf numFmtId="176" fontId="4" fillId="0" borderId="0" xfId="0" applyNumberFormat="1" applyFont="1" applyFill="1" applyBorder="1" applyAlignment="1" applyProtection="1">
      <alignment horizontal="right"/>
      <protection locked="0"/>
    </xf>
    <xf numFmtId="9" fontId="6" fillId="33" borderId="0" xfId="0" applyNumberFormat="1" applyFont="1" applyFill="1" applyBorder="1" applyAlignment="1" applyProtection="1">
      <alignment/>
      <protection locked="0"/>
    </xf>
    <xf numFmtId="176" fontId="4" fillId="33" borderId="0" xfId="0" applyNumberFormat="1" applyFont="1" applyFill="1" applyBorder="1" applyAlignment="1" applyProtection="1">
      <alignment horizontal="right"/>
      <protection locked="0"/>
    </xf>
    <xf numFmtId="176" fontId="4" fillId="0" borderId="0" xfId="0" applyNumberFormat="1" applyFont="1" applyFill="1" applyBorder="1" applyAlignment="1" applyProtection="1">
      <alignment horizontal="left"/>
      <protection locked="0"/>
    </xf>
    <xf numFmtId="178" fontId="6" fillId="0" borderId="0" xfId="0" applyNumberFormat="1" applyFont="1" applyFill="1" applyBorder="1" applyAlignment="1" applyProtection="1">
      <alignment/>
      <protection locked="0"/>
    </xf>
    <xf numFmtId="176" fontId="7" fillId="33" borderId="0" xfId="0" applyNumberFormat="1" applyFont="1" applyFill="1" applyBorder="1" applyAlignment="1" applyProtection="1">
      <alignment horizontal="right"/>
      <protection/>
    </xf>
    <xf numFmtId="181" fontId="6" fillId="33" borderId="13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181" fontId="6" fillId="33" borderId="0" xfId="0" applyNumberFormat="1" applyFont="1" applyFill="1" applyBorder="1" applyAlignment="1" applyProtection="1">
      <alignment/>
      <protection locked="0"/>
    </xf>
    <xf numFmtId="176" fontId="10" fillId="33" borderId="0" xfId="0" applyNumberFormat="1" applyFont="1" applyFill="1" applyBorder="1" applyAlignment="1" applyProtection="1">
      <alignment horizontal="left"/>
      <protection/>
    </xf>
    <xf numFmtId="176" fontId="46" fillId="46" borderId="15" xfId="0" applyNumberFormat="1" applyFont="1" applyFill="1" applyBorder="1" applyAlignment="1" applyProtection="1">
      <alignment horizontal="center"/>
      <protection locked="0"/>
    </xf>
    <xf numFmtId="176" fontId="47" fillId="46" borderId="16" xfId="0" applyNumberFormat="1" applyFont="1" applyFill="1" applyBorder="1" applyAlignment="1" applyProtection="1">
      <alignment horizontal="center"/>
      <protection locked="0"/>
    </xf>
    <xf numFmtId="176" fontId="47" fillId="46" borderId="17" xfId="0" applyNumberFormat="1" applyFont="1" applyFill="1" applyBorder="1" applyAlignment="1" applyProtection="1">
      <alignment horizontal="center"/>
      <protection locked="0"/>
    </xf>
    <xf numFmtId="176" fontId="47" fillId="46" borderId="10" xfId="0" applyNumberFormat="1" applyFont="1" applyFill="1" applyBorder="1" applyAlignment="1" applyProtection="1">
      <alignment horizontal="center"/>
      <protection locked="0"/>
    </xf>
    <xf numFmtId="176" fontId="47" fillId="46" borderId="0" xfId="0" applyNumberFormat="1" applyFont="1" applyFill="1" applyBorder="1" applyAlignment="1" applyProtection="1">
      <alignment horizontal="center"/>
      <protection locked="0"/>
    </xf>
    <xf numFmtId="176" fontId="47" fillId="46" borderId="11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連結的儲存格" xfId="40"/>
    <cellStyle name="Currency" xfId="41"/>
    <cellStyle name="Currency [0]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26.7109375" style="16" customWidth="1"/>
    <col min="2" max="4" width="9.140625" style="16" customWidth="1"/>
    <col min="5" max="5" width="17.57421875" style="16" customWidth="1"/>
    <col min="6" max="6" width="31.00390625" style="48" customWidth="1"/>
    <col min="7" max="7" width="18.28125" style="48" customWidth="1"/>
    <col min="8" max="8" width="17.140625" style="16" customWidth="1"/>
    <col min="9" max="9" width="13.421875" style="16" customWidth="1"/>
    <col min="10" max="10" width="12.57421875" style="16" customWidth="1"/>
    <col min="11" max="27" width="18.28125" style="16" customWidth="1"/>
    <col min="28" max="30" width="12.28125" style="16" customWidth="1"/>
    <col min="31" max="31" width="18.00390625" style="16" customWidth="1"/>
    <col min="32" max="32" width="12.28125" style="16" customWidth="1"/>
    <col min="33" max="33" width="18.00390625" style="16" customWidth="1"/>
    <col min="34" max="34" width="12.7109375" style="16" customWidth="1"/>
    <col min="35" max="35" width="13.28125" style="16" customWidth="1"/>
    <col min="36" max="36" width="9.140625" style="16" customWidth="1"/>
    <col min="37" max="37" width="19.140625" style="16" customWidth="1"/>
    <col min="38" max="38" width="10.57421875" style="16" customWidth="1"/>
    <col min="39" max="16384" width="9.140625" style="16" customWidth="1"/>
  </cols>
  <sheetData>
    <row r="1" spans="1:11" ht="12.75" thickTop="1">
      <c r="A1" s="16" t="s">
        <v>42</v>
      </c>
      <c r="B1" s="26">
        <v>0.02</v>
      </c>
      <c r="E1" s="56" t="s">
        <v>48</v>
      </c>
      <c r="F1" s="57"/>
      <c r="G1" s="57"/>
      <c r="H1" s="57"/>
      <c r="I1" s="57"/>
      <c r="J1" s="57"/>
      <c r="K1" s="58"/>
    </row>
    <row r="2" spans="1:11" ht="12">
      <c r="A2" s="20" t="s">
        <v>47</v>
      </c>
      <c r="B2" s="26">
        <v>0.04</v>
      </c>
      <c r="E2" s="59"/>
      <c r="F2" s="60"/>
      <c r="G2" s="60"/>
      <c r="H2" s="60"/>
      <c r="I2" s="60"/>
      <c r="J2" s="60"/>
      <c r="K2" s="61"/>
    </row>
    <row r="3" spans="1:11" ht="12">
      <c r="A3" s="20" t="s">
        <v>44</v>
      </c>
      <c r="B3" s="16">
        <v>7</v>
      </c>
      <c r="E3" s="19"/>
      <c r="F3" s="20" t="s">
        <v>14</v>
      </c>
      <c r="G3" s="20" t="s">
        <v>15</v>
      </c>
      <c r="H3" s="20" t="s">
        <v>16</v>
      </c>
      <c r="I3" s="20" t="s">
        <v>17</v>
      </c>
      <c r="J3" s="16" t="s">
        <v>18</v>
      </c>
      <c r="K3" s="21" t="s">
        <v>19</v>
      </c>
    </row>
    <row r="4" spans="1:11" ht="12">
      <c r="A4" s="20" t="s">
        <v>46</v>
      </c>
      <c r="B4" s="26">
        <v>0.0135</v>
      </c>
      <c r="E4" s="19" t="s">
        <v>22</v>
      </c>
      <c r="F4" s="16">
        <f>H10</f>
        <v>-835200</v>
      </c>
      <c r="G4" s="16">
        <f>AB17</f>
        <v>1841794.0739741996</v>
      </c>
      <c r="H4" s="16">
        <f>F4+G4</f>
        <v>1006594.0739741996</v>
      </c>
      <c r="I4" s="23">
        <f>H4/(-F4)</f>
        <v>1.2052132111760052</v>
      </c>
      <c r="J4" s="24">
        <f>H29</f>
        <v>0.09457793712791644</v>
      </c>
      <c r="K4" s="25">
        <f>AB28</f>
        <v>4.805631951502994</v>
      </c>
    </row>
    <row r="5" spans="1:11" ht="12.75" thickBot="1">
      <c r="A5" s="20" t="s">
        <v>54</v>
      </c>
      <c r="B5" s="47">
        <v>0.3</v>
      </c>
      <c r="E5" s="28" t="s">
        <v>57</v>
      </c>
      <c r="F5" s="52">
        <f>(G4/(-F4))^(1/20)-1</f>
        <v>0.04033337006877513</v>
      </c>
      <c r="G5" s="29"/>
      <c r="H5" s="29"/>
      <c r="I5" s="30"/>
      <c r="J5" s="29"/>
      <c r="K5" s="31"/>
    </row>
    <row r="6" spans="1:9" ht="12.75" thickTop="1">
      <c r="A6" s="20"/>
      <c r="B6" s="47"/>
      <c r="E6" s="20"/>
      <c r="F6" s="54"/>
      <c r="G6" s="16"/>
      <c r="I6" s="26"/>
    </row>
    <row r="7" spans="1:9" ht="12">
      <c r="A7" s="20"/>
      <c r="B7" s="47"/>
      <c r="E7" s="20"/>
      <c r="F7" s="54"/>
      <c r="G7" s="16"/>
      <c r="I7" s="26"/>
    </row>
    <row r="8" spans="1:29" s="2" customFormat="1" ht="19.5">
      <c r="A8" s="1" t="s">
        <v>0</v>
      </c>
      <c r="F8" s="55" t="s">
        <v>56</v>
      </c>
      <c r="G8" s="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s="10" customFormat="1" ht="14.25">
      <c r="A9" s="5" t="s">
        <v>1</v>
      </c>
      <c r="B9">
        <v>10.3185</v>
      </c>
      <c r="C9" s="6">
        <f>B9*$C$14</f>
        <v>0.35766031195840553</v>
      </c>
      <c r="D9" s="6"/>
      <c r="E9" s="6"/>
      <c r="F9" s="7" t="s">
        <v>2</v>
      </c>
      <c r="G9" s="7"/>
      <c r="H9" s="8">
        <v>2011</v>
      </c>
      <c r="I9" s="8">
        <f>SUM(H9+1)</f>
        <v>2012</v>
      </c>
      <c r="J9" s="8">
        <f aca="true" t="shared" si="0" ref="J9:Y9">SUM(I9+1)</f>
        <v>2013</v>
      </c>
      <c r="K9" s="8">
        <f t="shared" si="0"/>
        <v>2014</v>
      </c>
      <c r="L9" s="8">
        <f t="shared" si="0"/>
        <v>2015</v>
      </c>
      <c r="M9" s="8">
        <f t="shared" si="0"/>
        <v>2016</v>
      </c>
      <c r="N9" s="8">
        <f t="shared" si="0"/>
        <v>2017</v>
      </c>
      <c r="O9" s="8">
        <f t="shared" si="0"/>
        <v>2018</v>
      </c>
      <c r="P9" s="8">
        <f t="shared" si="0"/>
        <v>2019</v>
      </c>
      <c r="Q9" s="8">
        <f t="shared" si="0"/>
        <v>2020</v>
      </c>
      <c r="R9" s="8">
        <f t="shared" si="0"/>
        <v>2021</v>
      </c>
      <c r="S9" s="8">
        <f t="shared" si="0"/>
        <v>2022</v>
      </c>
      <c r="T9" s="8">
        <f t="shared" si="0"/>
        <v>2023</v>
      </c>
      <c r="U9" s="8">
        <f t="shared" si="0"/>
        <v>2024</v>
      </c>
      <c r="V9" s="8">
        <f t="shared" si="0"/>
        <v>2025</v>
      </c>
      <c r="W9" s="8">
        <f t="shared" si="0"/>
        <v>2026</v>
      </c>
      <c r="X9" s="8">
        <f t="shared" si="0"/>
        <v>2027</v>
      </c>
      <c r="Y9" s="8">
        <f t="shared" si="0"/>
        <v>2028</v>
      </c>
      <c r="Z9" s="8">
        <f>SUM(Y9+1)</f>
        <v>2029</v>
      </c>
      <c r="AA9" s="8">
        <f>SUM(Z9+1)</f>
        <v>2030</v>
      </c>
      <c r="AB9" s="8" t="s">
        <v>3</v>
      </c>
      <c r="AC9" s="9" t="s">
        <v>2</v>
      </c>
    </row>
    <row r="10" spans="1:29" ht="12.75">
      <c r="A10" s="11"/>
      <c r="B10" s="6"/>
      <c r="C10" s="6"/>
      <c r="D10" s="6"/>
      <c r="E10" s="6"/>
      <c r="F10" s="12" t="s">
        <v>4</v>
      </c>
      <c r="G10" s="12"/>
      <c r="H10" s="13">
        <f>-$C$15*$B$13</f>
        <v>-835200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5" t="s">
        <v>4</v>
      </c>
    </row>
    <row r="11" spans="1:29" ht="12.75">
      <c r="A11" s="11"/>
      <c r="B11" s="6"/>
      <c r="C11" s="6"/>
      <c r="D11" s="6"/>
      <c r="E11" s="6"/>
      <c r="F11" s="12" t="s">
        <v>49</v>
      </c>
      <c r="G11" s="12"/>
      <c r="H11" s="13">
        <v>600000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5"/>
    </row>
    <row r="12" spans="1:29" ht="12.75">
      <c r="A12" s="11"/>
      <c r="B12" s="6"/>
      <c r="C12" s="6"/>
      <c r="D12" s="6"/>
      <c r="E12" s="6"/>
      <c r="F12" s="12" t="s">
        <v>5</v>
      </c>
      <c r="G12" s="12"/>
      <c r="H12" s="14">
        <v>0</v>
      </c>
      <c r="I12" s="13"/>
      <c r="J12" s="13"/>
      <c r="K12" s="13"/>
      <c r="L12" s="13"/>
      <c r="M12" s="1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5"/>
    </row>
    <row r="13" spans="1:29" ht="14.25">
      <c r="A13" s="17" t="s">
        <v>6</v>
      </c>
      <c r="B13" s="6">
        <v>5.76</v>
      </c>
      <c r="C13" s="18" t="s">
        <v>7</v>
      </c>
      <c r="D13" s="18"/>
      <c r="E13" s="6"/>
      <c r="F13" s="12" t="s">
        <v>8</v>
      </c>
      <c r="G13" s="12"/>
      <c r="H13" s="13">
        <f>$B$13*$C$16*365*$C$24*$B$9*(1-0.06*B5)</f>
        <v>102255.02083584003</v>
      </c>
      <c r="I13" s="13">
        <f>SUM(H13)*0.993</f>
        <v>101539.23568998915</v>
      </c>
      <c r="J13" s="13">
        <f>I13*0.993</f>
        <v>100828.46104015922</v>
      </c>
      <c r="K13" s="13">
        <f aca="true" t="shared" si="1" ref="K13:AA13">J13*0.993</f>
        <v>100122.66181287811</v>
      </c>
      <c r="L13" s="13">
        <f t="shared" si="1"/>
        <v>99421.80318018797</v>
      </c>
      <c r="M13" s="13">
        <f t="shared" si="1"/>
        <v>98725.85055792665</v>
      </c>
      <c r="N13" s="13">
        <f t="shared" si="1"/>
        <v>98034.76960402116</v>
      </c>
      <c r="O13" s="13">
        <f t="shared" si="1"/>
        <v>97348.526216793</v>
      </c>
      <c r="P13" s="13">
        <f t="shared" si="1"/>
        <v>96667.08653327545</v>
      </c>
      <c r="Q13" s="13">
        <f t="shared" si="1"/>
        <v>95990.41692754252</v>
      </c>
      <c r="R13" s="13">
        <f t="shared" si="1"/>
        <v>95318.48400904973</v>
      </c>
      <c r="S13" s="13">
        <f t="shared" si="1"/>
        <v>94651.25462098638</v>
      </c>
      <c r="T13" s="13">
        <f t="shared" si="1"/>
        <v>93988.69583863947</v>
      </c>
      <c r="U13" s="13">
        <f t="shared" si="1"/>
        <v>93330.77496776899</v>
      </c>
      <c r="V13" s="13">
        <f t="shared" si="1"/>
        <v>92677.4595429946</v>
      </c>
      <c r="W13" s="13">
        <f t="shared" si="1"/>
        <v>92028.71732619364</v>
      </c>
      <c r="X13" s="13">
        <f t="shared" si="1"/>
        <v>91384.51630491028</v>
      </c>
      <c r="Y13" s="13">
        <f t="shared" si="1"/>
        <v>90744.82469077592</v>
      </c>
      <c r="Z13" s="13">
        <f t="shared" si="1"/>
        <v>90109.61091794049</v>
      </c>
      <c r="AA13" s="13">
        <f t="shared" si="1"/>
        <v>89478.8436415149</v>
      </c>
      <c r="AB13" s="14"/>
      <c r="AC13" s="15" t="s">
        <v>9</v>
      </c>
    </row>
    <row r="14" spans="1:29" ht="14.25">
      <c r="A14" s="5" t="s">
        <v>10</v>
      </c>
      <c r="B14" s="6">
        <v>28.85</v>
      </c>
      <c r="C14" s="6">
        <f>1/B14</f>
        <v>0.03466204506065858</v>
      </c>
      <c r="D14" s="11" t="s">
        <v>11</v>
      </c>
      <c r="F14" s="12" t="s">
        <v>12</v>
      </c>
      <c r="G14" s="12"/>
      <c r="H14" s="13">
        <f>SUM($H$10*(1/15))</f>
        <v>-55680</v>
      </c>
      <c r="I14" s="13">
        <f aca="true" t="shared" si="2" ref="I14:V14">SUM($H$10*(1/15))</f>
        <v>-55680</v>
      </c>
      <c r="J14" s="13">
        <f t="shared" si="2"/>
        <v>-55680</v>
      </c>
      <c r="K14" s="13">
        <f t="shared" si="2"/>
        <v>-55680</v>
      </c>
      <c r="L14" s="13">
        <f t="shared" si="2"/>
        <v>-55680</v>
      </c>
      <c r="M14" s="13">
        <f t="shared" si="2"/>
        <v>-55680</v>
      </c>
      <c r="N14" s="13">
        <f t="shared" si="2"/>
        <v>-55680</v>
      </c>
      <c r="O14" s="13">
        <f t="shared" si="2"/>
        <v>-55680</v>
      </c>
      <c r="P14" s="13">
        <f t="shared" si="2"/>
        <v>-55680</v>
      </c>
      <c r="Q14" s="13">
        <f t="shared" si="2"/>
        <v>-55680</v>
      </c>
      <c r="R14" s="13">
        <f t="shared" si="2"/>
        <v>-55680</v>
      </c>
      <c r="S14" s="13">
        <f t="shared" si="2"/>
        <v>-55680</v>
      </c>
      <c r="T14" s="13">
        <f t="shared" si="2"/>
        <v>-55680</v>
      </c>
      <c r="U14" s="13">
        <f t="shared" si="2"/>
        <v>-55680</v>
      </c>
      <c r="V14" s="13">
        <f t="shared" si="2"/>
        <v>-55680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4"/>
      <c r="AC14" s="15" t="s">
        <v>13</v>
      </c>
    </row>
    <row r="15" spans="1:29" ht="14.25">
      <c r="A15" s="17" t="s">
        <v>20</v>
      </c>
      <c r="B15" s="22"/>
      <c r="C15" s="22">
        <v>145000</v>
      </c>
      <c r="D15" s="22"/>
      <c r="E15" s="6"/>
      <c r="F15" s="12" t="s">
        <v>21</v>
      </c>
      <c r="G15" s="12"/>
      <c r="H15" s="13">
        <f>($H$10+$H$11)/15</f>
        <v>-15680</v>
      </c>
      <c r="I15" s="13">
        <f aca="true" t="shared" si="3" ref="I15:V15">($H$10+$H$11)/15</f>
        <v>-15680</v>
      </c>
      <c r="J15" s="13">
        <f t="shared" si="3"/>
        <v>-15680</v>
      </c>
      <c r="K15" s="13">
        <f t="shared" si="3"/>
        <v>-15680</v>
      </c>
      <c r="L15" s="13">
        <f t="shared" si="3"/>
        <v>-15680</v>
      </c>
      <c r="M15" s="13">
        <f t="shared" si="3"/>
        <v>-15680</v>
      </c>
      <c r="N15" s="13">
        <f t="shared" si="3"/>
        <v>-15680</v>
      </c>
      <c r="O15" s="13">
        <f t="shared" si="3"/>
        <v>-15680</v>
      </c>
      <c r="P15" s="13">
        <f t="shared" si="3"/>
        <v>-15680</v>
      </c>
      <c r="Q15" s="13">
        <f t="shared" si="3"/>
        <v>-15680</v>
      </c>
      <c r="R15" s="13">
        <f t="shared" si="3"/>
        <v>-15680</v>
      </c>
      <c r="S15" s="13">
        <f t="shared" si="3"/>
        <v>-15680</v>
      </c>
      <c r="T15" s="13">
        <f t="shared" si="3"/>
        <v>-15680</v>
      </c>
      <c r="U15" s="13">
        <f t="shared" si="3"/>
        <v>-15680</v>
      </c>
      <c r="V15" s="13">
        <f t="shared" si="3"/>
        <v>-15680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4"/>
      <c r="AC15" s="15"/>
    </row>
    <row r="16" spans="1:29" ht="14.25">
      <c r="A16" s="5" t="s">
        <v>23</v>
      </c>
      <c r="B16" s="6"/>
      <c r="C16" s="6">
        <v>6</v>
      </c>
      <c r="D16" s="6"/>
      <c r="E16" s="6"/>
      <c r="F16" s="12" t="s">
        <v>24</v>
      </c>
      <c r="G16" s="12"/>
      <c r="H16" s="14">
        <f>-SUM(H13*0.02)</f>
        <v>-2045.1004167168005</v>
      </c>
      <c r="I16" s="14">
        <f aca="true" t="shared" si="4" ref="I16:AA16">-SUM(I13*0.02)</f>
        <v>-2030.784713799783</v>
      </c>
      <c r="J16" s="14">
        <f t="shared" si="4"/>
        <v>-2016.5692208031844</v>
      </c>
      <c r="K16" s="14">
        <f t="shared" si="4"/>
        <v>-2002.4532362575624</v>
      </c>
      <c r="L16" s="14">
        <f t="shared" si="4"/>
        <v>-1988.4360636037595</v>
      </c>
      <c r="M16" s="14">
        <f t="shared" si="4"/>
        <v>-1974.517011158533</v>
      </c>
      <c r="N16" s="14">
        <f t="shared" si="4"/>
        <v>-1960.6953920804233</v>
      </c>
      <c r="O16" s="14">
        <f t="shared" si="4"/>
        <v>-1946.97052433586</v>
      </c>
      <c r="P16" s="14">
        <f t="shared" si="4"/>
        <v>-1933.341730665509</v>
      </c>
      <c r="Q16" s="14">
        <f t="shared" si="4"/>
        <v>-1919.8083385508505</v>
      </c>
      <c r="R16" s="14">
        <f t="shared" si="4"/>
        <v>-1906.3696801809947</v>
      </c>
      <c r="S16" s="14">
        <f t="shared" si="4"/>
        <v>-1893.0250924197276</v>
      </c>
      <c r="T16" s="14">
        <f>-SUM(T13*0.02)-6000*B13</f>
        <v>-36439.77391677279</v>
      </c>
      <c r="U16" s="14">
        <f t="shared" si="4"/>
        <v>-1866.6154993553798</v>
      </c>
      <c r="V16" s="14">
        <f t="shared" si="4"/>
        <v>-1853.5491908598922</v>
      </c>
      <c r="W16" s="14">
        <f t="shared" si="4"/>
        <v>-1840.574346523873</v>
      </c>
      <c r="X16" s="14">
        <f t="shared" si="4"/>
        <v>-1827.6903260982058</v>
      </c>
      <c r="Y16" s="14">
        <f t="shared" si="4"/>
        <v>-1814.8964938155184</v>
      </c>
      <c r="Z16" s="14">
        <f t="shared" si="4"/>
        <v>-1802.19221835881</v>
      </c>
      <c r="AA16" s="14">
        <f t="shared" si="4"/>
        <v>-1789.576872830298</v>
      </c>
      <c r="AB16" s="14">
        <f>SUM(H16:AA16)</f>
        <v>-72852.94028518774</v>
      </c>
      <c r="AC16" s="15" t="s">
        <v>24</v>
      </c>
    </row>
    <row r="17" spans="1:29" ht="12.75">
      <c r="A17" s="11"/>
      <c r="B17" s="20"/>
      <c r="C17" s="11"/>
      <c r="D17" s="11"/>
      <c r="E17" s="11"/>
      <c r="F17" s="12" t="s">
        <v>25</v>
      </c>
      <c r="G17" s="13">
        <f>H10</f>
        <v>-835200</v>
      </c>
      <c r="H17" s="14">
        <f aca="true" t="shared" si="5" ref="H17:AA17">SUM(H12:H13,H16)</f>
        <v>100209.92041912323</v>
      </c>
      <c r="I17" s="14">
        <f t="shared" si="5"/>
        <v>99508.45097618936</v>
      </c>
      <c r="J17" s="14">
        <f t="shared" si="5"/>
        <v>98811.89181935604</v>
      </c>
      <c r="K17" s="14">
        <f t="shared" si="5"/>
        <v>98120.20857662056</v>
      </c>
      <c r="L17" s="14">
        <f t="shared" si="5"/>
        <v>97433.36711658421</v>
      </c>
      <c r="M17" s="14">
        <f t="shared" si="5"/>
        <v>96751.33354676812</v>
      </c>
      <c r="N17" s="14">
        <f t="shared" si="5"/>
        <v>96074.07421194074</v>
      </c>
      <c r="O17" s="14">
        <f t="shared" si="5"/>
        <v>95401.55569245714</v>
      </c>
      <c r="P17" s="14">
        <f t="shared" si="5"/>
        <v>94733.74480260994</v>
      </c>
      <c r="Q17" s="14">
        <f t="shared" si="5"/>
        <v>94070.60858899167</v>
      </c>
      <c r="R17" s="14">
        <f t="shared" si="5"/>
        <v>93412.11432886873</v>
      </c>
      <c r="S17" s="14">
        <f t="shared" si="5"/>
        <v>92758.22952856665</v>
      </c>
      <c r="T17" s="14">
        <f t="shared" si="5"/>
        <v>57548.92192186668</v>
      </c>
      <c r="U17" s="14">
        <f t="shared" si="5"/>
        <v>91464.1594684136</v>
      </c>
      <c r="V17" s="14">
        <f t="shared" si="5"/>
        <v>90823.91035213471</v>
      </c>
      <c r="W17" s="14">
        <f t="shared" si="5"/>
        <v>90188.14297966976</v>
      </c>
      <c r="X17" s="14">
        <f t="shared" si="5"/>
        <v>89556.82597881208</v>
      </c>
      <c r="Y17" s="14">
        <f t="shared" si="5"/>
        <v>88929.9281969604</v>
      </c>
      <c r="Z17" s="14">
        <f t="shared" si="5"/>
        <v>88307.41869958169</v>
      </c>
      <c r="AA17" s="14">
        <f t="shared" si="5"/>
        <v>87689.26676868461</v>
      </c>
      <c r="AB17" s="14">
        <f>SUM(H17:AA17)</f>
        <v>1841794.0739741996</v>
      </c>
      <c r="AC17" s="15" t="s">
        <v>25</v>
      </c>
    </row>
    <row r="18" spans="1:29" ht="14.25">
      <c r="A18" s="53"/>
      <c r="B18" s="22"/>
      <c r="C18" s="22"/>
      <c r="D18" s="22"/>
      <c r="E18" s="32"/>
      <c r="F18" s="12" t="s">
        <v>26</v>
      </c>
      <c r="G18" s="13"/>
      <c r="H18" s="14">
        <f>H13+H16+H22</f>
        <v>1794.5147963986383</v>
      </c>
      <c r="I18" s="14">
        <f aca="true" t="shared" si="6" ref="I18:AA18">I13+I16+I22</f>
        <v>1093.0453534647677</v>
      </c>
      <c r="J18" s="14">
        <f t="shared" si="6"/>
        <v>396.4861966314493</v>
      </c>
      <c r="K18" s="14">
        <f t="shared" si="6"/>
        <v>-295.1970461040328</v>
      </c>
      <c r="L18" s="14">
        <f t="shared" si="6"/>
        <v>-982.0385061403795</v>
      </c>
      <c r="M18" s="14">
        <f t="shared" si="6"/>
        <v>-1664.072075956472</v>
      </c>
      <c r="N18" s="14">
        <f t="shared" si="6"/>
        <v>-2341.3314107838523</v>
      </c>
      <c r="O18" s="14">
        <f t="shared" si="6"/>
        <v>95401.55569245714</v>
      </c>
      <c r="P18" s="14">
        <f t="shared" si="6"/>
        <v>94733.74480260994</v>
      </c>
      <c r="Q18" s="14">
        <f t="shared" si="6"/>
        <v>94070.60858899167</v>
      </c>
      <c r="R18" s="14">
        <f t="shared" si="6"/>
        <v>93412.11432886873</v>
      </c>
      <c r="S18" s="14">
        <f t="shared" si="6"/>
        <v>92758.22952856665</v>
      </c>
      <c r="T18" s="14">
        <f t="shared" si="6"/>
        <v>57548.92192186668</v>
      </c>
      <c r="U18" s="14">
        <f t="shared" si="6"/>
        <v>91464.1594684136</v>
      </c>
      <c r="V18" s="14">
        <f t="shared" si="6"/>
        <v>90823.91035213471</v>
      </c>
      <c r="W18" s="14">
        <f t="shared" si="6"/>
        <v>90188.14297966976</v>
      </c>
      <c r="X18" s="14">
        <f t="shared" si="6"/>
        <v>89556.82597881208</v>
      </c>
      <c r="Y18" s="14">
        <f t="shared" si="6"/>
        <v>88929.9281969604</v>
      </c>
      <c r="Z18" s="14">
        <f t="shared" si="6"/>
        <v>88307.41869958169</v>
      </c>
      <c r="AA18" s="14">
        <f t="shared" si="6"/>
        <v>87689.26676868461</v>
      </c>
      <c r="AB18" s="14">
        <f>SUM(H18:AA18)</f>
        <v>1152886.2346151278</v>
      </c>
      <c r="AC18" s="15"/>
    </row>
    <row r="19" spans="1:29" ht="14.25">
      <c r="A19" s="53"/>
      <c r="B19" s="6"/>
      <c r="C19" s="6"/>
      <c r="D19" s="6"/>
      <c r="E19" s="32"/>
      <c r="F19" s="12" t="s">
        <v>27</v>
      </c>
      <c r="G19" s="13"/>
      <c r="H19" s="14">
        <f>H17</f>
        <v>100209.92041912323</v>
      </c>
      <c r="I19" s="14">
        <f aca="true" t="shared" si="7" ref="I19:AA19">H19+I17</f>
        <v>199718.3713953126</v>
      </c>
      <c r="J19" s="14">
        <f t="shared" si="7"/>
        <v>298530.2632146686</v>
      </c>
      <c r="K19" s="14">
        <f t="shared" si="7"/>
        <v>396650.47179128916</v>
      </c>
      <c r="L19" s="14">
        <f t="shared" si="7"/>
        <v>494083.8389078734</v>
      </c>
      <c r="M19" s="14">
        <f t="shared" si="7"/>
        <v>590835.1724546414</v>
      </c>
      <c r="N19" s="14">
        <f t="shared" si="7"/>
        <v>686909.2466665822</v>
      </c>
      <c r="O19" s="14">
        <f t="shared" si="7"/>
        <v>782310.8023590393</v>
      </c>
      <c r="P19" s="14">
        <f t="shared" si="7"/>
        <v>877044.5471616492</v>
      </c>
      <c r="Q19" s="14">
        <f t="shared" si="7"/>
        <v>971115.1557506409</v>
      </c>
      <c r="R19" s="14">
        <f t="shared" si="7"/>
        <v>1064527.2700795096</v>
      </c>
      <c r="S19" s="14">
        <f t="shared" si="7"/>
        <v>1157285.4996080762</v>
      </c>
      <c r="T19" s="14">
        <f t="shared" si="7"/>
        <v>1214834.421529943</v>
      </c>
      <c r="U19" s="14">
        <f t="shared" si="7"/>
        <v>1306298.5809983565</v>
      </c>
      <c r="V19" s="14">
        <f t="shared" si="7"/>
        <v>1397122.491350491</v>
      </c>
      <c r="W19" s="14">
        <f t="shared" si="7"/>
        <v>1487310.634330161</v>
      </c>
      <c r="X19" s="14">
        <f t="shared" si="7"/>
        <v>1576867.460308973</v>
      </c>
      <c r="Y19" s="14">
        <f t="shared" si="7"/>
        <v>1665797.3885059333</v>
      </c>
      <c r="Z19" s="14">
        <f t="shared" si="7"/>
        <v>1754104.807205515</v>
      </c>
      <c r="AA19" s="14">
        <f t="shared" si="7"/>
        <v>1841794.0739741996</v>
      </c>
      <c r="AB19" s="14"/>
      <c r="AC19" s="15"/>
    </row>
    <row r="20" spans="1:29" ht="12.75">
      <c r="A20" s="36"/>
      <c r="B20" s="6"/>
      <c r="C20" s="6"/>
      <c r="D20" s="6"/>
      <c r="E20" s="6"/>
      <c r="F20" s="12" t="s">
        <v>28</v>
      </c>
      <c r="G20" s="13"/>
      <c r="AC20" s="15"/>
    </row>
    <row r="21" spans="1:29" ht="12.75">
      <c r="A21" s="36"/>
      <c r="B21" s="6"/>
      <c r="C21" s="6"/>
      <c r="D21" s="6"/>
      <c r="E21" s="6"/>
      <c r="F21" s="12" t="s">
        <v>29</v>
      </c>
      <c r="G21" s="13"/>
      <c r="H21" s="14">
        <f>H10+H11+H19+H22</f>
        <v>-233405.48520360136</v>
      </c>
      <c r="I21" s="14">
        <f aca="true" t="shared" si="8" ref="I21:AA21">H21+I17+I22</f>
        <v>-232312.4398501366</v>
      </c>
      <c r="J21" s="14">
        <f t="shared" si="8"/>
        <v>-231915.95365350516</v>
      </c>
      <c r="K21" s="14">
        <f t="shared" si="8"/>
        <v>-232211.1506996092</v>
      </c>
      <c r="L21" s="14">
        <f t="shared" si="8"/>
        <v>-233193.18920574957</v>
      </c>
      <c r="M21" s="14">
        <f t="shared" si="8"/>
        <v>-234857.26128170604</v>
      </c>
      <c r="N21" s="14">
        <f t="shared" si="8"/>
        <v>-237198.59269248988</v>
      </c>
      <c r="O21" s="14">
        <f t="shared" si="8"/>
        <v>-141797.03700003272</v>
      </c>
      <c r="P21" s="14">
        <f t="shared" si="8"/>
        <v>-47063.29219742278</v>
      </c>
      <c r="Q21" s="14">
        <f t="shared" si="8"/>
        <v>47007.31639156889</v>
      </c>
      <c r="R21" s="14">
        <f t="shared" si="8"/>
        <v>140419.4307204376</v>
      </c>
      <c r="S21" s="14">
        <f t="shared" si="8"/>
        <v>233177.66024900426</v>
      </c>
      <c r="T21" s="14">
        <f t="shared" si="8"/>
        <v>290726.5821708709</v>
      </c>
      <c r="U21" s="14">
        <f t="shared" si="8"/>
        <v>382190.74163928453</v>
      </c>
      <c r="V21" s="14">
        <f t="shared" si="8"/>
        <v>473014.65199141926</v>
      </c>
      <c r="W21" s="14">
        <f t="shared" si="8"/>
        <v>563202.794971089</v>
      </c>
      <c r="X21" s="14">
        <f t="shared" si="8"/>
        <v>652759.6209499011</v>
      </c>
      <c r="Y21" s="14">
        <f t="shared" si="8"/>
        <v>741689.5491468614</v>
      </c>
      <c r="Z21" s="14">
        <f t="shared" si="8"/>
        <v>829996.9678464431</v>
      </c>
      <c r="AA21" s="14">
        <f t="shared" si="8"/>
        <v>917686.2346151277</v>
      </c>
      <c r="AB21" s="14"/>
      <c r="AC21" s="15" t="s">
        <v>30</v>
      </c>
    </row>
    <row r="22" spans="1:30" ht="12.75">
      <c r="A22" s="36"/>
      <c r="B22" s="6"/>
      <c r="C22" s="6"/>
      <c r="D22" s="6"/>
      <c r="E22" s="6"/>
      <c r="F22" s="12" t="s">
        <v>31</v>
      </c>
      <c r="G22" s="13"/>
      <c r="H22" s="14">
        <f>-$H$34*12</f>
        <v>-98415.40562272459</v>
      </c>
      <c r="I22" s="14">
        <f aca="true" t="shared" si="9" ref="I22:N22">-$H$34*12</f>
        <v>-98415.40562272459</v>
      </c>
      <c r="J22" s="14">
        <f t="shared" si="9"/>
        <v>-98415.40562272459</v>
      </c>
      <c r="K22" s="14">
        <f t="shared" si="9"/>
        <v>-98415.40562272459</v>
      </c>
      <c r="L22" s="14">
        <f t="shared" si="9"/>
        <v>-98415.40562272459</v>
      </c>
      <c r="M22" s="14">
        <f t="shared" si="9"/>
        <v>-98415.40562272459</v>
      </c>
      <c r="N22" s="14">
        <f t="shared" si="9"/>
        <v>-98415.40562272459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/>
      <c r="AC22" s="15"/>
      <c r="AD22" s="33"/>
    </row>
    <row r="23" spans="1:31" ht="12.75">
      <c r="A23" s="11"/>
      <c r="B23" s="34"/>
      <c r="C23" s="34"/>
      <c r="D23" s="34"/>
      <c r="E23" s="11"/>
      <c r="F23" s="12" t="s">
        <v>45</v>
      </c>
      <c r="G23" s="13"/>
      <c r="H23" s="14">
        <f>H13+H16+H22</f>
        <v>1794.5147963986383</v>
      </c>
      <c r="I23" s="14">
        <f aca="true" t="shared" si="10" ref="I23:AA23">I13+I16+I22</f>
        <v>1093.0453534647677</v>
      </c>
      <c r="J23" s="14">
        <f t="shared" si="10"/>
        <v>396.4861966314493</v>
      </c>
      <c r="K23" s="14">
        <f t="shared" si="10"/>
        <v>-295.1970461040328</v>
      </c>
      <c r="L23" s="14">
        <f t="shared" si="10"/>
        <v>-982.0385061403795</v>
      </c>
      <c r="M23" s="14">
        <f t="shared" si="10"/>
        <v>-1664.072075956472</v>
      </c>
      <c r="N23" s="14">
        <f t="shared" si="10"/>
        <v>-2341.3314107838523</v>
      </c>
      <c r="O23" s="14">
        <f t="shared" si="10"/>
        <v>95401.55569245714</v>
      </c>
      <c r="P23" s="14">
        <f t="shared" si="10"/>
        <v>94733.74480260994</v>
      </c>
      <c r="Q23" s="14">
        <f t="shared" si="10"/>
        <v>94070.60858899167</v>
      </c>
      <c r="R23" s="14">
        <f t="shared" si="10"/>
        <v>93412.11432886873</v>
      </c>
      <c r="S23" s="14">
        <f t="shared" si="10"/>
        <v>92758.22952856665</v>
      </c>
      <c r="T23" s="14">
        <f t="shared" si="10"/>
        <v>57548.92192186668</v>
      </c>
      <c r="U23" s="14">
        <f t="shared" si="10"/>
        <v>91464.1594684136</v>
      </c>
      <c r="V23" s="14">
        <f t="shared" si="10"/>
        <v>90823.91035213471</v>
      </c>
      <c r="W23" s="14">
        <f t="shared" si="10"/>
        <v>90188.14297966976</v>
      </c>
      <c r="X23" s="14">
        <f t="shared" si="10"/>
        <v>89556.82597881208</v>
      </c>
      <c r="Y23" s="14">
        <f t="shared" si="10"/>
        <v>88929.9281969604</v>
      </c>
      <c r="Z23" s="14">
        <f t="shared" si="10"/>
        <v>88307.41869958169</v>
      </c>
      <c r="AA23" s="14">
        <f t="shared" si="10"/>
        <v>87689.26676868461</v>
      </c>
      <c r="AB23" s="14"/>
      <c r="AC23" s="15"/>
      <c r="AE23" s="20"/>
    </row>
    <row r="24" spans="1:29" ht="14.25">
      <c r="A24" s="17" t="s">
        <v>32</v>
      </c>
      <c r="B24" s="11"/>
      <c r="C24" s="11">
        <v>0.8</v>
      </c>
      <c r="D24" s="11"/>
      <c r="E24" s="35"/>
      <c r="F24" s="12" t="s">
        <v>33</v>
      </c>
      <c r="G24" s="13"/>
      <c r="H24" s="14">
        <f>H21*$H$28</f>
        <v>-3150.9740502486184</v>
      </c>
      <c r="I24" s="14">
        <f aca="true" t="shared" si="11" ref="I24:AA24">I21*$H$28</f>
        <v>-3136.217937976844</v>
      </c>
      <c r="J24" s="14">
        <f t="shared" si="11"/>
        <v>-3130.8653743223194</v>
      </c>
      <c r="K24" s="14">
        <f t="shared" si="11"/>
        <v>-3134.850534444724</v>
      </c>
      <c r="L24" s="14">
        <f t="shared" si="11"/>
        <v>-3148.108054277619</v>
      </c>
      <c r="M24" s="14">
        <f t="shared" si="11"/>
        <v>-3170.5730273030317</v>
      </c>
      <c r="N24" s="14">
        <f t="shared" si="11"/>
        <v>-3202.1810013486133</v>
      </c>
      <c r="O24" s="14">
        <f t="shared" si="11"/>
        <v>-1914.2599995004418</v>
      </c>
      <c r="P24" s="14">
        <f t="shared" si="11"/>
        <v>-635.3544446652076</v>
      </c>
      <c r="Q24" s="14">
        <f t="shared" si="11"/>
        <v>634.5987712861801</v>
      </c>
      <c r="R24" s="14">
        <f t="shared" si="11"/>
        <v>1895.6623147259077</v>
      </c>
      <c r="S24" s="14">
        <f t="shared" si="11"/>
        <v>3147.8984133615572</v>
      </c>
      <c r="T24" s="14">
        <f t="shared" si="11"/>
        <v>3924.8088593067573</v>
      </c>
      <c r="U24" s="14">
        <f t="shared" si="11"/>
        <v>5159.575012130341</v>
      </c>
      <c r="V24" s="14">
        <f t="shared" si="11"/>
        <v>6385.69780188416</v>
      </c>
      <c r="W24" s="14">
        <f t="shared" si="11"/>
        <v>7603.237732109701</v>
      </c>
      <c r="X24" s="14">
        <f t="shared" si="11"/>
        <v>8812.254882823665</v>
      </c>
      <c r="Y24" s="14">
        <f t="shared" si="11"/>
        <v>10012.80891348263</v>
      </c>
      <c r="Z24" s="14">
        <f t="shared" si="11"/>
        <v>11204.959065926982</v>
      </c>
      <c r="AA24" s="14">
        <f t="shared" si="11"/>
        <v>12388.764167304224</v>
      </c>
      <c r="AB24" s="14"/>
      <c r="AC24" s="15"/>
    </row>
    <row r="25" spans="3:29" ht="12.75">
      <c r="C25" s="36"/>
      <c r="D25" s="36"/>
      <c r="E25" s="37"/>
      <c r="F25" s="38" t="s">
        <v>34</v>
      </c>
      <c r="G25" s="39"/>
      <c r="H25" s="40">
        <f>H13+H14+H16+H24</f>
        <v>41378.94636887461</v>
      </c>
      <c r="I25" s="40">
        <f aca="true" t="shared" si="12" ref="I25:AA25">I13+I14+I16+I24</f>
        <v>40692.23303821252</v>
      </c>
      <c r="J25" s="40">
        <f t="shared" si="12"/>
        <v>40001.02644503372</v>
      </c>
      <c r="K25" s="40">
        <f t="shared" si="12"/>
        <v>39305.35804217582</v>
      </c>
      <c r="L25" s="40">
        <f t="shared" si="12"/>
        <v>38605.25906230659</v>
      </c>
      <c r="M25" s="40">
        <f t="shared" si="12"/>
        <v>37900.76051946508</v>
      </c>
      <c r="N25" s="40">
        <f t="shared" si="12"/>
        <v>37191.89321059213</v>
      </c>
      <c r="O25" s="40">
        <f t="shared" si="12"/>
        <v>37807.2956929567</v>
      </c>
      <c r="P25" s="40">
        <f t="shared" si="12"/>
        <v>38418.39035794473</v>
      </c>
      <c r="Q25" s="40">
        <f t="shared" si="12"/>
        <v>39025.207360277855</v>
      </c>
      <c r="R25" s="40">
        <f t="shared" si="12"/>
        <v>39627.77664359465</v>
      </c>
      <c r="S25" s="40">
        <f t="shared" si="12"/>
        <v>40226.127941928215</v>
      </c>
      <c r="T25" s="40">
        <f t="shared" si="12"/>
        <v>5793.730781173434</v>
      </c>
      <c r="U25" s="40">
        <f t="shared" si="12"/>
        <v>40943.73448054395</v>
      </c>
      <c r="V25" s="40">
        <f t="shared" si="12"/>
        <v>41529.608154018875</v>
      </c>
      <c r="W25" s="40">
        <f t="shared" si="12"/>
        <v>97791.38071177946</v>
      </c>
      <c r="X25" s="40">
        <f t="shared" si="12"/>
        <v>98369.08086163574</v>
      </c>
      <c r="Y25" s="40">
        <f t="shared" si="12"/>
        <v>98942.73711044303</v>
      </c>
      <c r="Z25" s="40">
        <f t="shared" si="12"/>
        <v>99512.37776550866</v>
      </c>
      <c r="AA25" s="40">
        <f t="shared" si="12"/>
        <v>100078.03093598883</v>
      </c>
      <c r="AB25" s="41">
        <f>SUM(H25:AA25)</f>
        <v>1053140.9554844545</v>
      </c>
      <c r="AC25" s="15"/>
    </row>
    <row r="26" spans="1:29" ht="12.75">
      <c r="A26" s="20" t="s">
        <v>55</v>
      </c>
      <c r="B26" s="20" t="s">
        <v>50</v>
      </c>
      <c r="C26" s="6"/>
      <c r="D26" s="6"/>
      <c r="E26" s="11"/>
      <c r="F26" s="38" t="s">
        <v>35</v>
      </c>
      <c r="G26" s="39"/>
      <c r="H26" s="40">
        <f aca="true" t="shared" si="13" ref="H26:AA26">H13+H15+H16+H22+H24</f>
        <v>-17036.45925384998</v>
      </c>
      <c r="I26" s="40">
        <f t="shared" si="13"/>
        <v>-17723.172584512075</v>
      </c>
      <c r="J26" s="40">
        <f t="shared" si="13"/>
        <v>-18414.37917769087</v>
      </c>
      <c r="K26" s="40">
        <f t="shared" si="13"/>
        <v>-19110.04758054876</v>
      </c>
      <c r="L26" s="40">
        <f t="shared" si="13"/>
        <v>-19810.146560417998</v>
      </c>
      <c r="M26" s="40">
        <f t="shared" si="13"/>
        <v>-20514.645103259503</v>
      </c>
      <c r="N26" s="40">
        <f t="shared" si="13"/>
        <v>-21223.512412132466</v>
      </c>
      <c r="O26" s="40">
        <f t="shared" si="13"/>
        <v>77807.2956929567</v>
      </c>
      <c r="P26" s="40">
        <f t="shared" si="13"/>
        <v>78418.39035794474</v>
      </c>
      <c r="Q26" s="40">
        <f t="shared" si="13"/>
        <v>79025.20736027785</v>
      </c>
      <c r="R26" s="40">
        <f t="shared" si="13"/>
        <v>79627.77664359464</v>
      </c>
      <c r="S26" s="40">
        <f t="shared" si="13"/>
        <v>80226.12794192821</v>
      </c>
      <c r="T26" s="40">
        <f t="shared" si="13"/>
        <v>45793.730781173435</v>
      </c>
      <c r="U26" s="40">
        <f t="shared" si="13"/>
        <v>80943.73448054395</v>
      </c>
      <c r="V26" s="40">
        <f t="shared" si="13"/>
        <v>81529.60815401888</v>
      </c>
      <c r="W26" s="40">
        <f t="shared" si="13"/>
        <v>97791.38071177946</v>
      </c>
      <c r="X26" s="40">
        <f t="shared" si="13"/>
        <v>98369.08086163574</v>
      </c>
      <c r="Y26" s="40">
        <f t="shared" si="13"/>
        <v>98942.73711044303</v>
      </c>
      <c r="Z26" s="40">
        <f t="shared" si="13"/>
        <v>99512.37776550866</v>
      </c>
      <c r="AA26" s="40">
        <f t="shared" si="13"/>
        <v>100078.03093598883</v>
      </c>
      <c r="AB26" s="41">
        <f>SUM(H26:V26)</f>
        <v>469539.50874002674</v>
      </c>
      <c r="AC26" s="15"/>
    </row>
    <row r="27" spans="2:29" ht="12.75">
      <c r="B27" s="16" t="s">
        <v>51</v>
      </c>
      <c r="C27" s="6"/>
      <c r="D27" s="6"/>
      <c r="E27" s="11"/>
      <c r="F27" s="12"/>
      <c r="G27" s="13"/>
      <c r="H27" s="13">
        <f>$B$13*$C$16*365*$C$24</f>
        <v>10091.520000000002</v>
      </c>
      <c r="I27" s="13">
        <f>H27*0.993</f>
        <v>10020.879360000003</v>
      </c>
      <c r="J27" s="13">
        <f aca="true" t="shared" si="14" ref="J27:AA27">I27*0.993</f>
        <v>9950.733204480002</v>
      </c>
      <c r="K27" s="13">
        <f t="shared" si="14"/>
        <v>9881.078072048642</v>
      </c>
      <c r="L27" s="13">
        <f t="shared" si="14"/>
        <v>9811.910525544301</v>
      </c>
      <c r="M27" s="13">
        <f t="shared" si="14"/>
        <v>9743.22715186549</v>
      </c>
      <c r="N27" s="13">
        <f t="shared" si="14"/>
        <v>9675.024561802433</v>
      </c>
      <c r="O27" s="13">
        <f t="shared" si="14"/>
        <v>9607.299389869815</v>
      </c>
      <c r="P27" s="13">
        <f t="shared" si="14"/>
        <v>9540.048294140726</v>
      </c>
      <c r="Q27" s="13">
        <f t="shared" si="14"/>
        <v>9473.267956081741</v>
      </c>
      <c r="R27" s="13">
        <f t="shared" si="14"/>
        <v>9406.955080389169</v>
      </c>
      <c r="S27" s="13">
        <f t="shared" si="14"/>
        <v>9341.106394826445</v>
      </c>
      <c r="T27" s="13">
        <f t="shared" si="14"/>
        <v>9275.71865006266</v>
      </c>
      <c r="U27" s="13">
        <f t="shared" si="14"/>
        <v>9210.788619512221</v>
      </c>
      <c r="V27" s="13">
        <f t="shared" si="14"/>
        <v>9146.313099175635</v>
      </c>
      <c r="W27" s="13">
        <f t="shared" si="14"/>
        <v>9082.288907481407</v>
      </c>
      <c r="X27" s="13">
        <f t="shared" si="14"/>
        <v>9018.712885129036</v>
      </c>
      <c r="Y27" s="13">
        <f t="shared" si="14"/>
        <v>8955.581894933133</v>
      </c>
      <c r="Z27" s="13">
        <f t="shared" si="14"/>
        <v>8892.892821668602</v>
      </c>
      <c r="AA27" s="13">
        <f t="shared" si="14"/>
        <v>8830.642571916922</v>
      </c>
      <c r="AB27" s="14">
        <f>SUM(H27:AA27)</f>
        <v>188955.98944092836</v>
      </c>
      <c r="AC27" s="15"/>
    </row>
    <row r="28" spans="2:29" ht="12.75">
      <c r="B28" s="16" t="s">
        <v>52</v>
      </c>
      <c r="E28" s="11"/>
      <c r="F28" s="42" t="s">
        <v>36</v>
      </c>
      <c r="G28" s="43"/>
      <c r="H28" s="26">
        <f>B4</f>
        <v>0.0135</v>
      </c>
      <c r="I28" s="16">
        <v>20</v>
      </c>
      <c r="AB28" s="44">
        <f>-($AB$16+$H$10)/AB27</f>
        <v>4.805631951502994</v>
      </c>
      <c r="AC28" s="45" t="s">
        <v>37</v>
      </c>
    </row>
    <row r="29" spans="2:29" ht="12.75">
      <c r="B29" s="16" t="s">
        <v>53</v>
      </c>
      <c r="E29" s="6"/>
      <c r="F29" s="46" t="s">
        <v>18</v>
      </c>
      <c r="G29" s="43"/>
      <c r="H29" s="27">
        <f>IRR(G17:AA17)</f>
        <v>0.09457793712791644</v>
      </c>
      <c r="AB29" s="50"/>
      <c r="AC29" s="49"/>
    </row>
    <row r="30" spans="5:29" ht="12.75">
      <c r="E30" s="6"/>
      <c r="F30" s="46"/>
      <c r="G30" s="43">
        <f>H10+H11</f>
        <v>-235200</v>
      </c>
      <c r="H30" s="14">
        <f>H20+H23+H29</f>
        <v>1794.6093743357662</v>
      </c>
      <c r="I30" s="14">
        <f aca="true" t="shared" si="15" ref="I30:AA30">I20+I23+I29</f>
        <v>1093.0453534647677</v>
      </c>
      <c r="J30" s="14">
        <f t="shared" si="15"/>
        <v>396.4861966314493</v>
      </c>
      <c r="K30" s="14">
        <f t="shared" si="15"/>
        <v>-295.1970461040328</v>
      </c>
      <c r="L30" s="14">
        <f t="shared" si="15"/>
        <v>-982.0385061403795</v>
      </c>
      <c r="M30" s="14">
        <f t="shared" si="15"/>
        <v>-1664.072075956472</v>
      </c>
      <c r="N30" s="14">
        <f t="shared" si="15"/>
        <v>-2341.3314107838523</v>
      </c>
      <c r="O30" s="14">
        <f t="shared" si="15"/>
        <v>95401.55569245714</v>
      </c>
      <c r="P30" s="14">
        <f t="shared" si="15"/>
        <v>94733.74480260994</v>
      </c>
      <c r="Q30" s="14">
        <f t="shared" si="15"/>
        <v>94070.60858899167</v>
      </c>
      <c r="R30" s="14">
        <f t="shared" si="15"/>
        <v>93412.11432886873</v>
      </c>
      <c r="S30" s="14">
        <f t="shared" si="15"/>
        <v>92758.22952856665</v>
      </c>
      <c r="T30" s="14">
        <f t="shared" si="15"/>
        <v>57548.92192186668</v>
      </c>
      <c r="U30" s="14">
        <f t="shared" si="15"/>
        <v>91464.1594684136</v>
      </c>
      <c r="V30" s="14">
        <f t="shared" si="15"/>
        <v>90823.91035213471</v>
      </c>
      <c r="W30" s="14">
        <f t="shared" si="15"/>
        <v>90188.14297966976</v>
      </c>
      <c r="X30" s="14">
        <f t="shared" si="15"/>
        <v>89556.82597881208</v>
      </c>
      <c r="Y30" s="14">
        <f t="shared" si="15"/>
        <v>88929.9281969604</v>
      </c>
      <c r="Z30" s="14">
        <f t="shared" si="15"/>
        <v>88307.41869958169</v>
      </c>
      <c r="AA30" s="14">
        <f t="shared" si="15"/>
        <v>87689.26676868461</v>
      </c>
      <c r="AB30" s="50"/>
      <c r="AC30" s="49"/>
    </row>
    <row r="31" spans="6:29" ht="12">
      <c r="F31" s="46" t="s">
        <v>38</v>
      </c>
      <c r="G31" s="43"/>
      <c r="H31" s="27">
        <f>IRR(G30:AA30)</f>
        <v>0.12952319125309505</v>
      </c>
      <c r="AB31" s="50"/>
      <c r="AC31" s="49"/>
    </row>
    <row r="32" spans="6:29" ht="12">
      <c r="F32" s="51" t="s">
        <v>43</v>
      </c>
      <c r="G32" s="13"/>
      <c r="H32" s="14">
        <f>-H11</f>
        <v>-600000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5"/>
    </row>
    <row r="33" spans="2:29" ht="12">
      <c r="B33" s="47"/>
      <c r="F33" s="12" t="s">
        <v>39</v>
      </c>
      <c r="G33" s="13"/>
      <c r="H33" s="14">
        <f>PMT(H28,B3,H32)</f>
        <v>90404.91553767725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5"/>
    </row>
    <row r="34" spans="6:29" ht="12">
      <c r="F34" s="12" t="s">
        <v>40</v>
      </c>
      <c r="G34" s="13"/>
      <c r="H34" s="14">
        <f>PMT(B2/12,B3*12,H32)</f>
        <v>8201.283801893716</v>
      </c>
      <c r="I34" s="14"/>
      <c r="J34" s="14"/>
      <c r="K34" s="14" t="s">
        <v>41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5"/>
    </row>
    <row r="35" spans="28:29" ht="12">
      <c r="AB35" s="50"/>
      <c r="AC35" s="49"/>
    </row>
  </sheetData>
  <sheetProtection selectLockedCells="1"/>
  <mergeCells count="1">
    <mergeCell ref="E1:K2"/>
  </mergeCells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2011-06-15T03:42:03Z</dcterms:created>
  <dcterms:modified xsi:type="dcterms:W3CDTF">2011-06-22T22:52:29Z</dcterms:modified>
  <cp:category/>
  <cp:version/>
  <cp:contentType/>
  <cp:contentStatus/>
</cp:coreProperties>
</file>